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dvanced Calculator" sheetId="1" r:id="rId1"/>
    <sheet name="Report &amp; Charts" sheetId="2" r:id="rId2"/>
  </sheets>
  <calcPr calcId="124519" fullCalcOnLoad="1"/>
</workbook>
</file>

<file path=xl/sharedStrings.xml><?xml version="1.0" encoding="utf-8"?>
<sst xmlns="http://schemas.openxmlformats.org/spreadsheetml/2006/main" count="40" uniqueCount="35">
  <si>
    <t>Circuit Name</t>
  </si>
  <si>
    <t>Building Type (House / Condo / Commercial)</t>
  </si>
  <si>
    <t>Climate Region (ON/QC/US-NE/Midwest)</t>
  </si>
  <si>
    <t>Design Load (kW)</t>
  </si>
  <si>
    <t>Supply Temp (°C)</t>
  </si>
  <si>
    <t>Return Temp (°C)</t>
  </si>
  <si>
    <t>ΔT (°C)</t>
  </si>
  <si>
    <t>Design Flow Q (m3/h)</t>
  </si>
  <si>
    <t>Design Flow Q (gpm)</t>
  </si>
  <si>
    <t>Available ΔP across Valve (kPa)</t>
  </si>
  <si>
    <t>Required Kv</t>
  </si>
  <si>
    <t>Selected Valve Size</t>
  </si>
  <si>
    <t>Pump Head (m)</t>
  </si>
  <si>
    <t>Pump Efficiency (%)</t>
  </si>
  <si>
    <t>Pump Power (kW)</t>
  </si>
  <si>
    <t>Annual Operating Hours (h/year)</t>
  </si>
  <si>
    <t>Annual Pump Energy (kWh/year)</t>
  </si>
  <si>
    <t>Fuel Type (Gas/Electric)</t>
  </si>
  <si>
    <t>Boiler / Heat Pump COP or Efficiency</t>
  </si>
  <si>
    <t>Annual Heating Energy (kWh/year)</t>
  </si>
  <si>
    <t>Scenario (Balanced / Unbalanced)</t>
  </si>
  <si>
    <t>Estimated Savings vs Unbalanced (%)</t>
  </si>
  <si>
    <t>Sample Circuit - Balanced</t>
  </si>
  <si>
    <t>Condo</t>
  </si>
  <si>
    <t>ON</t>
  </si>
  <si>
    <t>Gas</t>
  </si>
  <si>
    <t>Balanced</t>
  </si>
  <si>
    <t>Sample Circuit - Unbalanced</t>
  </si>
  <si>
    <t>Unbalanced</t>
  </si>
  <si>
    <t>Scenario</t>
  </si>
  <si>
    <t>Total Pump Energy (kWh/year)</t>
  </si>
  <si>
    <t>Instructions:</t>
  </si>
  <si>
    <t>1) On 'Advanced Calculator' sheet, enter your own project data starting from row 2.</t>
  </si>
  <si>
    <t>2) Use 'Balanced' and 'Unbalanced' in Scenario column to compare cases.</t>
  </si>
  <si>
    <t>3) This report will automatically update total pump energy and the chart.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</si>
</sst>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F4B08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Annual Pump Energy – Balanced vs Unbalanced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Pump Energy by Scenario</c:v>
          </c:tx>
          <c:cat>
            <c:strRef>
              <c:f>'Report &amp; Charts'!$A$2:$A$3</c:f>
              <c:strCache>
                <c:ptCount val="2"/>
                <c:pt idx="0">
                  <c:v>Balanced</c:v>
                </c:pt>
                <c:pt idx="1">
                  <c:v>Unbalanced</c:v>
                </c:pt>
              </c:strCache>
            </c:strRef>
          </c:cat>
          <c:val>
            <c:numRef>
              <c:f>'Report &amp; Charts'!$B$2:$B$3</c:f>
              <c:numCache>
                <c:formatCode>General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kWh/year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304800</xdr:colOff>
      <xdr:row>15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t="s">
        <v>22</v>
      </c>
      <c r="B2" t="s">
        <v>23</v>
      </c>
      <c r="C2" t="s">
        <v>24</v>
      </c>
      <c r="D2">
        <v>25</v>
      </c>
      <c r="E2">
        <v>70</v>
      </c>
      <c r="F2">
        <v>50</v>
      </c>
      <c r="G2">
        <f>IF(AND(E2&lt;&gt;"",F2&lt;&gt;""),E2-F2,"")</f>
        <v>0</v>
      </c>
      <c r="H2">
        <f>IF(AND(D2&lt;&gt;"",G2&lt;&gt;""),D2/(G2*1.163),"")</f>
        <v>0</v>
      </c>
      <c r="I2">
        <f>IF(H2&lt;&gt;"",H2*4.402867,"")</f>
        <v>0</v>
      </c>
      <c r="J2">
        <v>15</v>
      </c>
      <c r="K2">
        <f>IF(AND(H2&lt;&gt;"",J2&lt;&gt;""),H2/SQRT(J2/100),"")</f>
        <v>0</v>
      </c>
      <c r="M2">
        <v>18</v>
      </c>
      <c r="N2">
        <v>65</v>
      </c>
      <c r="O2">
        <f>IF(AND(H2&lt;&gt;"",M2&lt;&gt;"",N2&lt;&gt;""),H2*1000*9.81*M2/(3600000*(N2/100)),"")</f>
        <v>0</v>
      </c>
      <c r="P2">
        <v>2500</v>
      </c>
      <c r="Q2">
        <f>IF(AND(O2&lt;&gt;"",P2&lt;&gt;""),O2*P2,"")</f>
        <v>0</v>
      </c>
      <c r="R2" t="s">
        <v>25</v>
      </c>
      <c r="S2">
        <v>0.9</v>
      </c>
      <c r="T2">
        <f>IF(AND(D2&lt;&gt;"",P2&lt;&gt;"",S2&lt;&gt;""),D2/S2*P2,"")</f>
        <v>0</v>
      </c>
      <c r="U2" t="s">
        <v>26</v>
      </c>
      <c r="V2">
        <v>20</v>
      </c>
    </row>
    <row r="3" spans="1:22">
      <c r="A3" t="s">
        <v>27</v>
      </c>
      <c r="B3" t="s">
        <v>23</v>
      </c>
      <c r="C3" t="s">
        <v>24</v>
      </c>
      <c r="D3">
        <v>25</v>
      </c>
      <c r="E3">
        <v>70</v>
      </c>
      <c r="F3">
        <v>55</v>
      </c>
      <c r="G3">
        <f>IF(AND(E3&lt;&gt;"",F3&lt;&gt;""),E3-F3,"")</f>
        <v>0</v>
      </c>
      <c r="H3">
        <f>IF(AND(D3&lt;&gt;"",G3&lt;&gt;""),D3/(G3*1.163),"")</f>
        <v>0</v>
      </c>
      <c r="I3">
        <f>IF(H3&lt;&gt;"",H3*4.402867,"")</f>
        <v>0</v>
      </c>
      <c r="J3">
        <v>25</v>
      </c>
      <c r="K3">
        <f>IF(AND(H3&lt;&gt;"",J3&lt;&gt;""),H3/SQRT(J3/100),"")</f>
        <v>0</v>
      </c>
      <c r="M3">
        <v>22</v>
      </c>
      <c r="N3">
        <v>60</v>
      </c>
      <c r="O3">
        <f>IF(AND(H3&lt;&gt;"",M3&lt;&gt;"",N3&lt;&gt;""),H3*1000*9.81*M3/(3600000*(N3/100)),"")</f>
        <v>0</v>
      </c>
      <c r="P3">
        <v>2500</v>
      </c>
      <c r="Q3">
        <f>IF(AND(O3&lt;&gt;"",P3&lt;&gt;""),O3*P3,"")</f>
        <v>0</v>
      </c>
      <c r="R3" t="s">
        <v>25</v>
      </c>
      <c r="S3">
        <v>0.9</v>
      </c>
      <c r="T3">
        <f>IF(AND(D3&lt;&gt;"",P3&lt;&gt;"",S3&lt;&gt;""),D3/S3*P3,"")</f>
        <v>0</v>
      </c>
      <c r="U3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/>
  </sheetViews>
  <sheetFormatPr defaultRowHeight="15"/>
  <sheetData>
    <row r="1" spans="1:2">
      <c r="A1" s="2" t="s">
        <v>29</v>
      </c>
      <c r="B1" s="2" t="s">
        <v>30</v>
      </c>
    </row>
    <row r="2" spans="1:2">
      <c r="A2" t="s">
        <v>26</v>
      </c>
      <c r="B2">
        <f>SUMIF('Advanced Calculator'!U:U,"Balanced",'Advanced Calculator'!Q:Q)</f>
        <v>0</v>
      </c>
    </row>
    <row r="3" spans="1:2">
      <c r="A3" t="s">
        <v>28</v>
      </c>
      <c r="B3">
        <f>SUMIF('Advanced Calculator'!U:U,"Unbalanced",'Advanced Calculator'!Q:Q)</f>
        <v>0</v>
      </c>
    </row>
    <row r="6" spans="1:2">
      <c r="A6" s="3" t="s">
        <v>31</v>
      </c>
    </row>
    <row r="7" spans="1:2">
      <c r="A7" t="s">
        <v>32</v>
      </c>
    </row>
    <row r="8" spans="1:2">
      <c r="A8" t="s">
        <v>33</v>
      </c>
    </row>
    <row r="9" spans="1:2">
      <c r="A9" t="s">
        <v>34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Advanced Calculator</vt:lpstr>
      <vt:lpstr>Report &amp; Charts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2025-12-06T18:17:53Z</dcterms:created>
  <dcterms:modified xsi:type="dcterms:W3CDTF">2025-12-06T18:17:53Z</dcterms:modified>
</cp:coreProperties>
</file>